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245" windowHeight="9495" tabRatio="742"/>
  </bookViews>
  <sheets>
    <sheet name="Coût Energie" sheetId="11" r:id="rId1"/>
  </sheets>
  <calcPr calcId="125725"/>
</workbook>
</file>

<file path=xl/calcChain.xml><?xml version="1.0" encoding="utf-8"?>
<calcChain xmlns="http://schemas.openxmlformats.org/spreadsheetml/2006/main">
  <c r="J13" i="11"/>
  <c r="L13"/>
  <c r="L7"/>
  <c r="J7" l="1"/>
  <c r="D13"/>
  <c r="H13"/>
  <c r="D16" l="1"/>
  <c r="D7"/>
  <c r="F2" l="1"/>
  <c r="J3" l="1"/>
  <c r="H2"/>
  <c r="J2"/>
  <c r="L2"/>
  <c r="H3"/>
  <c r="H6" s="1"/>
  <c r="H8" s="1"/>
  <c r="H10" s="1"/>
  <c r="D3"/>
  <c r="D6" s="1"/>
  <c r="D8" s="1"/>
  <c r="D10" s="1"/>
  <c r="D12" s="1"/>
  <c r="F6" l="1"/>
  <c r="F8" s="1"/>
  <c r="F10" s="1"/>
  <c r="F11" s="1"/>
  <c r="J24" s="1"/>
  <c r="L3"/>
  <c r="L6" s="1"/>
  <c r="L8" s="1"/>
  <c r="L10" s="1"/>
  <c r="L11" s="1"/>
  <c r="L24"/>
  <c r="H24"/>
  <c r="F24"/>
  <c r="D24"/>
  <c r="I24"/>
  <c r="G24"/>
  <c r="E24"/>
  <c r="J6"/>
  <c r="J8" s="1"/>
  <c r="J10" s="1"/>
  <c r="F14"/>
  <c r="F17" s="1"/>
  <c r="F18" s="1"/>
  <c r="F12"/>
  <c r="H14"/>
  <c r="H17" s="1"/>
  <c r="H18" s="1"/>
  <c r="H11"/>
  <c r="H12"/>
  <c r="D14"/>
  <c r="D17" s="1"/>
  <c r="D18" s="1"/>
  <c r="D11"/>
  <c r="L14" l="1"/>
  <c r="L17" s="1"/>
  <c r="L18" s="1"/>
  <c r="C24"/>
  <c r="C30" s="1"/>
  <c r="K24"/>
  <c r="K30" s="1"/>
  <c r="L12"/>
  <c r="L26"/>
  <c r="K26"/>
  <c r="G26"/>
  <c r="C26"/>
  <c r="H26"/>
  <c r="H30" s="1"/>
  <c r="D26"/>
  <c r="D30" s="1"/>
  <c r="I26"/>
  <c r="E26"/>
  <c r="E30" s="1"/>
  <c r="J26"/>
  <c r="J30" s="1"/>
  <c r="F26"/>
  <c r="F30" s="1"/>
  <c r="G30"/>
  <c r="I30"/>
  <c r="L30"/>
  <c r="K23"/>
  <c r="I23"/>
  <c r="I28" s="1"/>
  <c r="G23"/>
  <c r="G28" s="1"/>
  <c r="E23"/>
  <c r="E28" s="1"/>
  <c r="L23"/>
  <c r="L28" s="1"/>
  <c r="J23"/>
  <c r="J28" s="1"/>
  <c r="H23"/>
  <c r="H28" s="1"/>
  <c r="F23"/>
  <c r="F28" s="1"/>
  <c r="D23"/>
  <c r="C23"/>
  <c r="C28" s="1"/>
  <c r="L22"/>
  <c r="L27" s="1"/>
  <c r="J22"/>
  <c r="J27" s="1"/>
  <c r="F22"/>
  <c r="F27" s="1"/>
  <c r="D22"/>
  <c r="D27" s="1"/>
  <c r="K22"/>
  <c r="K27" s="1"/>
  <c r="I22"/>
  <c r="I27" s="1"/>
  <c r="G22"/>
  <c r="G27" s="1"/>
  <c r="E22"/>
  <c r="E27" s="1"/>
  <c r="C22"/>
  <c r="H22"/>
  <c r="H27" s="1"/>
  <c r="J11"/>
  <c r="J14"/>
  <c r="J17" s="1"/>
  <c r="J18" s="1"/>
  <c r="J12"/>
  <c r="D28"/>
  <c r="K28"/>
  <c r="C27" l="1"/>
  <c r="D25"/>
  <c r="D29" s="1"/>
  <c r="C25"/>
  <c r="C29" s="1"/>
  <c r="L25"/>
  <c r="L29" s="1"/>
  <c r="J25"/>
  <c r="J29" s="1"/>
  <c r="H25"/>
  <c r="H29" s="1"/>
  <c r="F25"/>
  <c r="F29" s="1"/>
  <c r="K25"/>
  <c r="K29" s="1"/>
  <c r="I25"/>
  <c r="I29" s="1"/>
  <c r="G25"/>
  <c r="G29" s="1"/>
  <c r="E25"/>
  <c r="E29" s="1"/>
</calcChain>
</file>

<file path=xl/sharedStrings.xml><?xml version="1.0" encoding="utf-8"?>
<sst xmlns="http://schemas.openxmlformats.org/spreadsheetml/2006/main" count="112" uniqueCount="51">
  <si>
    <t>Energie</t>
  </si>
  <si>
    <t>Rendement</t>
  </si>
  <si>
    <t>Prix de l'installation</t>
  </si>
  <si>
    <t>kWh</t>
  </si>
  <si>
    <t>Energie primaire consommée</t>
  </si>
  <si>
    <t>Contenu énergetique</t>
  </si>
  <si>
    <t>kWh/litre</t>
  </si>
  <si>
    <t>litre</t>
  </si>
  <si>
    <t>DH/mois</t>
  </si>
  <si>
    <t>ans</t>
  </si>
  <si>
    <t>m3</t>
  </si>
  <si>
    <t>DH</t>
  </si>
  <si>
    <t>Source primaire</t>
  </si>
  <si>
    <t>DH/litre</t>
  </si>
  <si>
    <t>Prix de l'énergie</t>
  </si>
  <si>
    <t>Durée d'exploitation</t>
  </si>
  <si>
    <t>kWh/jour</t>
  </si>
  <si>
    <t>kWh/kWh</t>
  </si>
  <si>
    <t>DH/kWh</t>
  </si>
  <si>
    <t>PV</t>
  </si>
  <si>
    <t>DH/m3</t>
  </si>
  <si>
    <t xml:space="preserve">Facture énergétique mensuelle </t>
  </si>
  <si>
    <t>DH/jour</t>
  </si>
  <si>
    <t>ANNEE</t>
  </si>
  <si>
    <t>kWh/Bouteille</t>
  </si>
  <si>
    <t>Bouteille</t>
  </si>
  <si>
    <t>DH/Bouteille</t>
  </si>
  <si>
    <t>Facture énergétique journalière</t>
  </si>
  <si>
    <t>Quantité réellement consommée</t>
  </si>
  <si>
    <t>Coût d'exploitation</t>
  </si>
  <si>
    <t>Prix de la connection</t>
  </si>
  <si>
    <t>Coût unitaire de l'eau - Exploitation</t>
  </si>
  <si>
    <t>Coût unitaire de l'eau - Total</t>
  </si>
  <si>
    <t>Coût total</t>
  </si>
  <si>
    <t>Coût cumulé ELECTRICITE</t>
  </si>
  <si>
    <t>Coût cumulé PV</t>
  </si>
  <si>
    <t>Différence PV-ELECTRICITE</t>
  </si>
  <si>
    <t>Différence PV-BUTANE subventionné</t>
  </si>
  <si>
    <t>Différence PV-BUTANE non subventionné</t>
  </si>
  <si>
    <t>Coût cumulé BUTANE subventionné</t>
  </si>
  <si>
    <t>Coût cumulé BUTANE non subventionné</t>
  </si>
  <si>
    <t>ELECTRICITE</t>
  </si>
  <si>
    <t>BUTANE subventionné</t>
  </si>
  <si>
    <t>BUTANE non subventionné</t>
  </si>
  <si>
    <t>GASOIL</t>
  </si>
  <si>
    <t>Coût cumulé GASOIL</t>
  </si>
  <si>
    <t>Différence PV-GASOIL</t>
  </si>
  <si>
    <t>Quantité d'eau</t>
  </si>
  <si>
    <t>BUTANE 1</t>
  </si>
  <si>
    <t>BUTANE 2</t>
  </si>
  <si>
    <t>Point mort en année</t>
  </si>
</sst>
</file>

<file path=xl/styles.xml><?xml version="1.0" encoding="utf-8"?>
<styleSheet xmlns="http://schemas.openxmlformats.org/spreadsheetml/2006/main">
  <numFmts count="4">
    <numFmt numFmtId="43" formatCode="_-* #,##0.00\ _€_-;\-* #,##0.00\ _€_-;_-* &quot;-&quot;??\ _€_-;_-@_-"/>
    <numFmt numFmtId="164" formatCode="_(* #,##0.00_);_(* \(#,##0.00\);_(* &quot;-&quot;??_);_(@_)"/>
    <numFmt numFmtId="165" formatCode="_-* #,##0\ _€_-;\-* #,##0\ _€_-;_-* &quot;-&quot;??\ _€_-;_-@_-"/>
    <numFmt numFmtId="166" formatCode="0.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9" fontId="0" fillId="0" borderId="0" xfId="1" applyFont="1"/>
    <xf numFmtId="0" fontId="2" fillId="2" borderId="0" xfId="0" applyFont="1" applyFill="1"/>
    <xf numFmtId="43" fontId="2" fillId="2" borderId="0" xfId="2" applyFont="1" applyFill="1"/>
    <xf numFmtId="165" fontId="0" fillId="0" borderId="0" xfId="2" applyNumberFormat="1" applyFont="1"/>
    <xf numFmtId="165" fontId="0" fillId="0" borderId="0" xfId="0" applyNumberFormat="1"/>
    <xf numFmtId="43" fontId="0" fillId="0" borderId="0" xfId="2" applyNumberFormat="1" applyFont="1"/>
    <xf numFmtId="0" fontId="0" fillId="3" borderId="0" xfId="0" applyFill="1"/>
    <xf numFmtId="9" fontId="0" fillId="3" borderId="0" xfId="1" applyFont="1" applyFill="1"/>
    <xf numFmtId="43" fontId="0" fillId="3" borderId="0" xfId="2" applyNumberFormat="1" applyFont="1" applyFill="1"/>
    <xf numFmtId="165" fontId="0" fillId="3" borderId="0" xfId="2" applyNumberFormat="1" applyFont="1" applyFill="1"/>
    <xf numFmtId="0" fontId="2" fillId="0" borderId="0" xfId="0" applyFont="1"/>
    <xf numFmtId="165" fontId="0" fillId="2" borderId="0" xfId="0" applyNumberFormat="1" applyFill="1"/>
    <xf numFmtId="0" fontId="2" fillId="4" borderId="0" xfId="0" applyFont="1" applyFill="1"/>
    <xf numFmtId="164" fontId="0" fillId="0" borderId="0" xfId="0" applyNumberFormat="1"/>
    <xf numFmtId="0" fontId="0" fillId="4" borderId="0" xfId="0" applyFill="1"/>
    <xf numFmtId="166" fontId="0" fillId="0" borderId="0" xfId="0" applyNumberFormat="1" applyFont="1"/>
    <xf numFmtId="0" fontId="0" fillId="0" borderId="0" xfId="0" applyFont="1"/>
    <xf numFmtId="166" fontId="0" fillId="3" borderId="0" xfId="0" applyNumberFormat="1" applyFont="1" applyFill="1"/>
    <xf numFmtId="0" fontId="0" fillId="3" borderId="0" xfId="0" applyFont="1" applyFill="1"/>
    <xf numFmtId="0" fontId="2" fillId="4" borderId="0" xfId="0" applyFont="1" applyFill="1" applyAlignment="1">
      <alignment horizontal="center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0590618480382281"/>
          <c:y val="2.6361403991867868E-2"/>
          <c:w val="0.74766684857462162"/>
          <c:h val="0.8326195683872849"/>
        </c:manualLayout>
      </c:layout>
      <c:scatterChart>
        <c:scatterStyle val="smoothMarker"/>
        <c:ser>
          <c:idx val="0"/>
          <c:order val="0"/>
          <c:tx>
            <c:v>GASOIL</c:v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'Coût Energie'!$C$21:$L$21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'Coût Energie'!$C$22:$L$22</c:f>
              <c:numCache>
                <c:formatCode>_-* #,##0\ _€_-;\-* #,##0\ _€_-;_-* "-"??\ _€_-;_-@_-</c:formatCode>
                <c:ptCount val="10"/>
                <c:pt idx="0">
                  <c:v>394782.95454545459</c:v>
                </c:pt>
                <c:pt idx="1">
                  <c:v>662328.40909090918</c:v>
                </c:pt>
                <c:pt idx="2">
                  <c:v>929873.86363636376</c:v>
                </c:pt>
                <c:pt idx="3">
                  <c:v>1197419.3181818184</c:v>
                </c:pt>
                <c:pt idx="4">
                  <c:v>1464964.7727272729</c:v>
                </c:pt>
                <c:pt idx="5">
                  <c:v>1732510.2272727275</c:v>
                </c:pt>
                <c:pt idx="6">
                  <c:v>2000055.6818181821</c:v>
                </c:pt>
                <c:pt idx="7">
                  <c:v>2267601.1363636367</c:v>
                </c:pt>
                <c:pt idx="8">
                  <c:v>2535146.5909090913</c:v>
                </c:pt>
                <c:pt idx="9">
                  <c:v>2802692.0454545459</c:v>
                </c:pt>
              </c:numCache>
            </c:numRef>
          </c:yVal>
          <c:smooth val="1"/>
        </c:ser>
        <c:ser>
          <c:idx val="1"/>
          <c:order val="1"/>
          <c:tx>
            <c:v>ELECTRICITE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'Coût Energie'!$C$21:$L$21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'Coût Energie'!$C$23:$L$23</c:f>
              <c:numCache>
                <c:formatCode>_-* #,##0\ _€_-;\-* #,##0\ _€_-;_-* "-"??\ _€_-;_-@_-</c:formatCode>
                <c:ptCount val="10"/>
                <c:pt idx="0">
                  <c:v>400632</c:v>
                </c:pt>
                <c:pt idx="1">
                  <c:v>471264</c:v>
                </c:pt>
                <c:pt idx="2">
                  <c:v>541896</c:v>
                </c:pt>
                <c:pt idx="3">
                  <c:v>612528</c:v>
                </c:pt>
                <c:pt idx="4">
                  <c:v>683160</c:v>
                </c:pt>
                <c:pt idx="5">
                  <c:v>753792</c:v>
                </c:pt>
                <c:pt idx="6">
                  <c:v>824424</c:v>
                </c:pt>
                <c:pt idx="7">
                  <c:v>895056.00000000012</c:v>
                </c:pt>
                <c:pt idx="8">
                  <c:v>965688.00000000012</c:v>
                </c:pt>
                <c:pt idx="9">
                  <c:v>1036320.0000000001</c:v>
                </c:pt>
              </c:numCache>
            </c:numRef>
          </c:yVal>
          <c:smooth val="1"/>
        </c:ser>
        <c:ser>
          <c:idx val="2"/>
          <c:order val="2"/>
          <c:tx>
            <c:v>PV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'Coût Energie'!$C$21:$L$21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'Coût Energie'!$C$24:$L$24</c:f>
              <c:numCache>
                <c:formatCode>_-* #,##0\ _€_-;\-* #,##0\ _€_-;_-* "-"??\ _€_-;_-@_-</c:formatCode>
                <c:ptCount val="10"/>
                <c:pt idx="0">
                  <c:v>600000</c:v>
                </c:pt>
                <c:pt idx="1">
                  <c:v>600000</c:v>
                </c:pt>
                <c:pt idx="2">
                  <c:v>600000</c:v>
                </c:pt>
                <c:pt idx="3">
                  <c:v>600000</c:v>
                </c:pt>
                <c:pt idx="4">
                  <c:v>600000</c:v>
                </c:pt>
                <c:pt idx="5">
                  <c:v>600000</c:v>
                </c:pt>
                <c:pt idx="6">
                  <c:v>600000</c:v>
                </c:pt>
                <c:pt idx="7">
                  <c:v>600000</c:v>
                </c:pt>
                <c:pt idx="8">
                  <c:v>600000</c:v>
                </c:pt>
                <c:pt idx="9">
                  <c:v>600000</c:v>
                </c:pt>
              </c:numCache>
            </c:numRef>
          </c:yVal>
          <c:smooth val="1"/>
        </c:ser>
        <c:ser>
          <c:idx val="3"/>
          <c:order val="3"/>
          <c:tx>
            <c:v>BUTANE subventionné</c:v>
          </c:tx>
          <c:marker>
            <c:symbol val="none"/>
          </c:marker>
          <c:xVal>
            <c:numRef>
              <c:f>'Coût Energie'!$C$21:$L$21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'Coût Energie'!$C$25:$L$25</c:f>
              <c:numCache>
                <c:formatCode>_-* #,##0\ _€_-;\-* #,##0\ _€_-;_-* "-"??\ _€_-;_-@_-</c:formatCode>
                <c:ptCount val="10"/>
                <c:pt idx="0">
                  <c:v>134284.37695028086</c:v>
                </c:pt>
                <c:pt idx="1">
                  <c:v>198568.75390056169</c:v>
                </c:pt>
                <c:pt idx="2">
                  <c:v>262853.13085084251</c:v>
                </c:pt>
                <c:pt idx="3">
                  <c:v>327137.50780112337</c:v>
                </c:pt>
                <c:pt idx="4">
                  <c:v>391421.88475140423</c:v>
                </c:pt>
                <c:pt idx="5">
                  <c:v>455706.26170168503</c:v>
                </c:pt>
                <c:pt idx="6">
                  <c:v>519990.63865196588</c:v>
                </c:pt>
                <c:pt idx="7">
                  <c:v>584275.01560224674</c:v>
                </c:pt>
                <c:pt idx="8">
                  <c:v>648559.3925525276</c:v>
                </c:pt>
                <c:pt idx="9">
                  <c:v>712843.76950280846</c:v>
                </c:pt>
              </c:numCache>
            </c:numRef>
          </c:yVal>
          <c:smooth val="1"/>
        </c:ser>
        <c:ser>
          <c:idx val="4"/>
          <c:order val="4"/>
          <c:tx>
            <c:v>BUTANE non subventionné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'Coût Energie'!$C$21:$L$21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'Coût Energie'!$C$26:$L$26</c:f>
              <c:numCache>
                <c:formatCode>_-* #,##0\ _€_-;\-* #,##0\ _€_-;_-* "-"??\ _€_-;_-@_-</c:formatCode>
                <c:ptCount val="10"/>
                <c:pt idx="0">
                  <c:v>262853.13085084251</c:v>
                </c:pt>
                <c:pt idx="1">
                  <c:v>455706.26170168503</c:v>
                </c:pt>
                <c:pt idx="2">
                  <c:v>648559.39255252748</c:v>
                </c:pt>
                <c:pt idx="3">
                  <c:v>841412.52340337005</c:v>
                </c:pt>
                <c:pt idx="4">
                  <c:v>1034265.6542542125</c:v>
                </c:pt>
                <c:pt idx="5">
                  <c:v>1227118.785105055</c:v>
                </c:pt>
                <c:pt idx="6">
                  <c:v>1419971.9159558977</c:v>
                </c:pt>
                <c:pt idx="7">
                  <c:v>1612825.0468067401</c:v>
                </c:pt>
                <c:pt idx="8">
                  <c:v>1805678.1776575826</c:v>
                </c:pt>
                <c:pt idx="9">
                  <c:v>1998531.308508425</c:v>
                </c:pt>
              </c:numCache>
            </c:numRef>
          </c:yVal>
          <c:smooth val="1"/>
        </c:ser>
        <c:dLbls/>
        <c:axId val="85421440"/>
        <c:axId val="103016320"/>
      </c:scatterChart>
      <c:valAx>
        <c:axId val="85421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Arial" pitchFamily="34" charset="0"/>
                    <a:cs typeface="Arial" pitchFamily="34" charset="0"/>
                  </a:rPr>
                  <a:t>Année</a:t>
                </a:r>
              </a:p>
            </c:rich>
          </c:tx>
          <c:layout>
            <c:manualLayout>
              <c:xMode val="edge"/>
              <c:yMode val="edge"/>
              <c:x val="0.84146856890413446"/>
              <c:y val="0.92986941207668083"/>
            </c:manualLayout>
          </c:layout>
        </c:title>
        <c:numFmt formatCode="General" sourceLinked="1"/>
        <c:tickLblPos val="nextTo"/>
        <c:crossAx val="103016320"/>
        <c:crosses val="autoZero"/>
        <c:crossBetween val="midCat"/>
      </c:valAx>
      <c:valAx>
        <c:axId val="103016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>
                    <a:latin typeface="Arial" pitchFamily="34" charset="0"/>
                    <a:cs typeface="Arial" pitchFamily="34" charset="0"/>
                  </a:rPr>
                  <a:t>Coût cumulé</a:t>
                </a:r>
              </a:p>
            </c:rich>
          </c:tx>
          <c:layout>
            <c:manualLayout>
              <c:xMode val="edge"/>
              <c:yMode val="edge"/>
              <c:x val="4.7204750293787243E-3"/>
              <c:y val="2.4726302946500689E-2"/>
            </c:manualLayout>
          </c:layout>
        </c:title>
        <c:numFmt formatCode="_-* #,##0\ _€_-;\-* #,##0\ _€_-;_-* &quot;-&quot;??\ _€_-;_-@_-" sourceLinked="1"/>
        <c:tickLblPos val="nextTo"/>
        <c:crossAx val="85421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4878659398344441"/>
          <c:y val="2.4273495623245941E-3"/>
          <c:w val="0.37737149720190344"/>
          <c:h val="0.30969917886776488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752475</xdr:colOff>
      <xdr:row>30</xdr:row>
      <xdr:rowOff>114300</xdr:rowOff>
    </xdr:from>
    <xdr:to>
      <xdr:col>11</xdr:col>
      <xdr:colOff>638175</xdr:colOff>
      <xdr:row>46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38"/>
  <sheetViews>
    <sheetView tabSelected="1" topLeftCell="A29" workbookViewId="0">
      <selection activeCell="E53" sqref="E53"/>
    </sheetView>
  </sheetViews>
  <sheetFormatPr baseColWidth="10" defaultColWidth="11.42578125" defaultRowHeight="15"/>
  <cols>
    <col min="1" max="1" width="5.42578125" customWidth="1"/>
    <col min="2" max="2" width="37.42578125" bestFit="1" customWidth="1"/>
    <col min="3" max="3" width="10.28515625" bestFit="1" customWidth="1"/>
    <col min="4" max="4" width="11.7109375" bestFit="1" customWidth="1"/>
    <col min="5" max="5" width="11" customWidth="1"/>
    <col min="6" max="10" width="12" bestFit="1" customWidth="1"/>
    <col min="11" max="11" width="14" bestFit="1" customWidth="1"/>
    <col min="12" max="12" width="12" bestFit="1" customWidth="1"/>
    <col min="13" max="13" width="14" bestFit="1" customWidth="1"/>
  </cols>
  <sheetData>
    <row r="2" spans="2:13">
      <c r="B2" s="13" t="s">
        <v>47</v>
      </c>
      <c r="C2" s="13"/>
      <c r="D2" s="13">
        <v>120</v>
      </c>
      <c r="E2" s="13" t="s">
        <v>10</v>
      </c>
      <c r="F2" s="13">
        <f>+D2</f>
        <v>120</v>
      </c>
      <c r="G2" s="13" t="s">
        <v>10</v>
      </c>
      <c r="H2" s="13">
        <f>+F2</f>
        <v>120</v>
      </c>
      <c r="I2" s="13" t="s">
        <v>10</v>
      </c>
      <c r="J2" s="13">
        <f>F2</f>
        <v>120</v>
      </c>
      <c r="K2" s="13" t="s">
        <v>10</v>
      </c>
      <c r="L2" s="13">
        <f>F2</f>
        <v>120</v>
      </c>
      <c r="M2" s="13" t="s">
        <v>10</v>
      </c>
    </row>
    <row r="3" spans="2:13">
      <c r="B3" t="s">
        <v>0</v>
      </c>
      <c r="D3" s="16">
        <f>+F3</f>
        <v>218</v>
      </c>
      <c r="E3" s="17" t="s">
        <v>16</v>
      </c>
      <c r="F3" s="18">
        <v>218</v>
      </c>
      <c r="G3" s="19" t="s">
        <v>16</v>
      </c>
      <c r="H3" s="16">
        <f>+F3</f>
        <v>218</v>
      </c>
      <c r="I3" s="17" t="s">
        <v>16</v>
      </c>
      <c r="J3" s="16">
        <f>F3</f>
        <v>218</v>
      </c>
      <c r="K3" s="17" t="s">
        <v>16</v>
      </c>
      <c r="L3" s="16">
        <f>+F3</f>
        <v>218</v>
      </c>
      <c r="M3" s="17" t="s">
        <v>16</v>
      </c>
    </row>
    <row r="4" spans="2:13">
      <c r="B4" s="15" t="s">
        <v>12</v>
      </c>
      <c r="C4" s="15"/>
      <c r="D4" s="20" t="s">
        <v>44</v>
      </c>
      <c r="E4" s="20"/>
      <c r="F4" s="20" t="s">
        <v>19</v>
      </c>
      <c r="G4" s="20"/>
      <c r="H4" s="20" t="s">
        <v>41</v>
      </c>
      <c r="I4" s="20"/>
      <c r="J4" s="20" t="s">
        <v>42</v>
      </c>
      <c r="K4" s="20"/>
      <c r="L4" s="20" t="s">
        <v>43</v>
      </c>
      <c r="M4" s="20"/>
    </row>
    <row r="5" spans="2:13">
      <c r="B5" t="s">
        <v>1</v>
      </c>
      <c r="D5" s="1">
        <v>0.3</v>
      </c>
      <c r="F5" s="8">
        <v>1</v>
      </c>
      <c r="G5" s="7"/>
      <c r="H5" s="1">
        <v>1</v>
      </c>
      <c r="J5" s="1">
        <v>0.32</v>
      </c>
      <c r="L5" s="1">
        <v>0.32</v>
      </c>
    </row>
    <row r="6" spans="2:13">
      <c r="B6" t="s">
        <v>4</v>
      </c>
      <c r="D6" s="16">
        <f>+D3/D5</f>
        <v>726.66666666666674</v>
      </c>
      <c r="E6" s="17" t="s">
        <v>3</v>
      </c>
      <c r="F6" s="18">
        <f>+F3/F5</f>
        <v>218</v>
      </c>
      <c r="G6" s="19" t="s">
        <v>3</v>
      </c>
      <c r="H6" s="16">
        <f>+H3/H5</f>
        <v>218</v>
      </c>
      <c r="I6" s="17" t="s">
        <v>3</v>
      </c>
      <c r="J6" s="16">
        <f>+J3/J5</f>
        <v>681.25</v>
      </c>
      <c r="K6" s="17" t="s">
        <v>3</v>
      </c>
      <c r="L6" s="16">
        <f>+L3/L5</f>
        <v>681.25</v>
      </c>
      <c r="M6" s="17" t="s">
        <v>3</v>
      </c>
    </row>
    <row r="7" spans="2:13">
      <c r="B7" t="s">
        <v>5</v>
      </c>
      <c r="D7" s="6">
        <f>10000*4.18/3600*0.8</f>
        <v>9.2888888888888896</v>
      </c>
      <c r="E7" t="s">
        <v>6</v>
      </c>
      <c r="F7" s="9">
        <v>1</v>
      </c>
      <c r="G7" s="7" t="s">
        <v>17</v>
      </c>
      <c r="H7" s="6">
        <v>1</v>
      </c>
      <c r="I7" t="s">
        <v>17</v>
      </c>
      <c r="J7" s="6">
        <f>11500*4.18/3600*12</f>
        <v>160.23333333333335</v>
      </c>
      <c r="K7" t="s">
        <v>24</v>
      </c>
      <c r="L7" s="6">
        <f>11500*4.18/3600*12</f>
        <v>160.23333333333335</v>
      </c>
      <c r="M7" t="s">
        <v>24</v>
      </c>
    </row>
    <row r="8" spans="2:13">
      <c r="B8" t="s">
        <v>28</v>
      </c>
      <c r="D8" s="6">
        <f>D6/D7</f>
        <v>78.229665071770341</v>
      </c>
      <c r="E8" t="s">
        <v>7</v>
      </c>
      <c r="F8" s="9">
        <f>F6/F7</f>
        <v>218</v>
      </c>
      <c r="G8" s="7" t="s">
        <v>3</v>
      </c>
      <c r="H8" s="6">
        <f>H6/H7</f>
        <v>218</v>
      </c>
      <c r="I8" t="s">
        <v>3</v>
      </c>
      <c r="J8" s="6">
        <f>J6/J7</f>
        <v>4.2516122321614311</v>
      </c>
      <c r="K8" t="s">
        <v>25</v>
      </c>
      <c r="L8" s="6">
        <f>L6/L7</f>
        <v>4.2516122321614311</v>
      </c>
      <c r="M8" t="s">
        <v>25</v>
      </c>
    </row>
    <row r="9" spans="2:13">
      <c r="B9" t="s">
        <v>14</v>
      </c>
      <c r="D9" s="6">
        <v>9.5</v>
      </c>
      <c r="E9" t="s">
        <v>13</v>
      </c>
      <c r="F9" s="9">
        <v>0</v>
      </c>
      <c r="G9" s="7" t="s">
        <v>18</v>
      </c>
      <c r="H9" s="6">
        <v>0.9</v>
      </c>
      <c r="I9" t="s">
        <v>18</v>
      </c>
      <c r="J9" s="6">
        <v>42</v>
      </c>
      <c r="K9" t="s">
        <v>26</v>
      </c>
      <c r="L9" s="6">
        <v>126</v>
      </c>
      <c r="M9" t="s">
        <v>26</v>
      </c>
    </row>
    <row r="10" spans="2:13">
      <c r="B10" t="s">
        <v>27</v>
      </c>
      <c r="D10" s="4">
        <f>D9*D8</f>
        <v>743.18181818181824</v>
      </c>
      <c r="E10" t="s">
        <v>22</v>
      </c>
      <c r="F10" s="10">
        <f>F9*F8</f>
        <v>0</v>
      </c>
      <c r="G10" s="7" t="s">
        <v>22</v>
      </c>
      <c r="H10" s="4">
        <f>H9*H8</f>
        <v>196.20000000000002</v>
      </c>
      <c r="I10" t="s">
        <v>22</v>
      </c>
      <c r="J10" s="4">
        <f>J9*J8</f>
        <v>178.56771375078011</v>
      </c>
      <c r="K10" t="s">
        <v>22</v>
      </c>
      <c r="L10" s="4">
        <f>L9*L8</f>
        <v>535.70314125234029</v>
      </c>
      <c r="M10" t="s">
        <v>22</v>
      </c>
    </row>
    <row r="11" spans="2:13">
      <c r="B11" t="s">
        <v>21</v>
      </c>
      <c r="D11" s="5">
        <f>D10*30</f>
        <v>22295.454545454548</v>
      </c>
      <c r="E11" t="s">
        <v>8</v>
      </c>
      <c r="F11" s="10">
        <f>F10*30</f>
        <v>0</v>
      </c>
      <c r="G11" s="7" t="s">
        <v>8</v>
      </c>
      <c r="H11" s="5">
        <f>H10*30</f>
        <v>5886.0000000000009</v>
      </c>
      <c r="I11" t="s">
        <v>8</v>
      </c>
      <c r="J11" s="5">
        <f>J10*30</f>
        <v>5357.0314125234036</v>
      </c>
      <c r="K11" t="s">
        <v>8</v>
      </c>
      <c r="L11" s="5">
        <f>L10*30</f>
        <v>16071.094237570209</v>
      </c>
      <c r="M11" t="s">
        <v>8</v>
      </c>
    </row>
    <row r="12" spans="2:13">
      <c r="B12" s="2" t="s">
        <v>31</v>
      </c>
      <c r="C12" s="2"/>
      <c r="D12" s="3">
        <f>D10/D2</f>
        <v>6.1931818181818183</v>
      </c>
      <c r="E12" s="2" t="s">
        <v>20</v>
      </c>
      <c r="F12" s="3">
        <f>F10/F2</f>
        <v>0</v>
      </c>
      <c r="G12" s="2" t="s">
        <v>20</v>
      </c>
      <c r="H12" s="3">
        <f>H10/H2</f>
        <v>1.6350000000000002</v>
      </c>
      <c r="I12" s="2" t="s">
        <v>20</v>
      </c>
      <c r="J12" s="3">
        <f>J10/J2</f>
        <v>1.488064281256501</v>
      </c>
      <c r="K12" s="2" t="s">
        <v>20</v>
      </c>
      <c r="L12" s="3">
        <f>L10/L2</f>
        <v>4.464192843769502</v>
      </c>
      <c r="M12" s="2" t="s">
        <v>20</v>
      </c>
    </row>
    <row r="13" spans="2:13">
      <c r="B13" s="13" t="s">
        <v>15</v>
      </c>
      <c r="C13" s="13"/>
      <c r="D13" s="13">
        <f>+F13</f>
        <v>10</v>
      </c>
      <c r="E13" s="13" t="s">
        <v>9</v>
      </c>
      <c r="F13" s="13">
        <v>10</v>
      </c>
      <c r="G13" s="13" t="s">
        <v>9</v>
      </c>
      <c r="H13" s="13">
        <f>+F13</f>
        <v>10</v>
      </c>
      <c r="I13" s="13" t="s">
        <v>9</v>
      </c>
      <c r="J13" s="13">
        <f>F13</f>
        <v>10</v>
      </c>
      <c r="K13" s="13" t="s">
        <v>9</v>
      </c>
      <c r="L13" s="13">
        <f>F13</f>
        <v>10</v>
      </c>
      <c r="M13" s="13" t="s">
        <v>9</v>
      </c>
    </row>
    <row r="14" spans="2:13">
      <c r="B14" t="s">
        <v>29</v>
      </c>
      <c r="D14" s="4">
        <f>D10*30*12*D13</f>
        <v>2675454.5454545459</v>
      </c>
      <c r="E14" t="s">
        <v>11</v>
      </c>
      <c r="F14" s="7">
        <f>F10*30*12*F13</f>
        <v>0</v>
      </c>
      <c r="G14" s="7" t="s">
        <v>11</v>
      </c>
      <c r="H14" s="4">
        <f>H10*30*12*H13</f>
        <v>706320.00000000012</v>
      </c>
      <c r="I14" t="s">
        <v>11</v>
      </c>
      <c r="J14" s="4">
        <f>J10*30*12*J13</f>
        <v>642843.76950280846</v>
      </c>
      <c r="K14" t="s">
        <v>11</v>
      </c>
      <c r="L14" s="4">
        <f>L10*30*12*L13</f>
        <v>1928531.308508425</v>
      </c>
      <c r="M14" t="s">
        <v>11</v>
      </c>
    </row>
    <row r="15" spans="2:13">
      <c r="B15" t="s">
        <v>30</v>
      </c>
      <c r="D15">
        <v>0</v>
      </c>
      <c r="E15" t="s">
        <v>11</v>
      </c>
      <c r="F15" s="7">
        <v>0</v>
      </c>
      <c r="G15" s="7" t="s">
        <v>11</v>
      </c>
      <c r="H15" s="4">
        <v>280000</v>
      </c>
      <c r="I15" t="s">
        <v>11</v>
      </c>
      <c r="J15">
        <v>0</v>
      </c>
      <c r="K15" t="s">
        <v>11</v>
      </c>
      <c r="L15">
        <v>0</v>
      </c>
      <c r="M15" t="s">
        <v>11</v>
      </c>
    </row>
    <row r="16" spans="2:13">
      <c r="B16" t="s">
        <v>2</v>
      </c>
      <c r="D16" s="4">
        <f>(51750+72000/2)*(1+0.05*(D13-1))</f>
        <v>127237.5</v>
      </c>
      <c r="E16" t="s">
        <v>11</v>
      </c>
      <c r="F16" s="10">
        <v>600000</v>
      </c>
      <c r="G16" s="7" t="s">
        <v>11</v>
      </c>
      <c r="H16" s="4">
        <v>50000</v>
      </c>
      <c r="I16" t="s">
        <v>11</v>
      </c>
      <c r="J16" s="4">
        <v>70000</v>
      </c>
      <c r="K16" t="s">
        <v>11</v>
      </c>
      <c r="L16" s="4">
        <v>70000</v>
      </c>
      <c r="M16" t="s">
        <v>11</v>
      </c>
    </row>
    <row r="17" spans="2:13">
      <c r="B17" t="s">
        <v>33</v>
      </c>
      <c r="D17" s="4">
        <f>+D16+D14+D15</f>
        <v>2802692.0454545459</v>
      </c>
      <c r="E17" s="4" t="s">
        <v>11</v>
      </c>
      <c r="F17" s="10">
        <f>+F16+F14+F15</f>
        <v>600000</v>
      </c>
      <c r="G17" s="7" t="s">
        <v>11</v>
      </c>
      <c r="H17" s="4">
        <f>+H16+H14+H15</f>
        <v>1036320.0000000001</v>
      </c>
      <c r="I17" s="4" t="s">
        <v>11</v>
      </c>
      <c r="J17" s="4">
        <f>+J16+J14+J15</f>
        <v>712843.76950280846</v>
      </c>
      <c r="K17" s="4" t="s">
        <v>11</v>
      </c>
      <c r="L17" s="4">
        <f>+L16+L14+L15</f>
        <v>1998531.308508425</v>
      </c>
      <c r="M17" s="4" t="s">
        <v>11</v>
      </c>
    </row>
    <row r="18" spans="2:13">
      <c r="B18" s="2" t="s">
        <v>32</v>
      </c>
      <c r="C18" s="2"/>
      <c r="D18" s="3">
        <f>D17/(D2*D13*365)</f>
        <v>6.3988402864259042</v>
      </c>
      <c r="E18" s="2" t="s">
        <v>20</v>
      </c>
      <c r="F18" s="3">
        <f>F17/(F2*F13*365)</f>
        <v>1.3698630136986301</v>
      </c>
      <c r="G18" s="2" t="s">
        <v>20</v>
      </c>
      <c r="H18" s="3">
        <f>H17/(H2*H13*365)</f>
        <v>2.3660273972602743</v>
      </c>
      <c r="I18" s="2" t="s">
        <v>20</v>
      </c>
      <c r="J18" s="3">
        <f>J17/(J2*J13*365)</f>
        <v>1.6274971906456814</v>
      </c>
      <c r="K18" s="2" t="s">
        <v>20</v>
      </c>
      <c r="L18" s="3">
        <f>L17/(L2*L13*365)</f>
        <v>4.5628568687406963</v>
      </c>
      <c r="M18" s="2" t="s">
        <v>20</v>
      </c>
    </row>
    <row r="21" spans="2:13">
      <c r="B21" s="13" t="s">
        <v>23</v>
      </c>
      <c r="C21" s="13">
        <v>1</v>
      </c>
      <c r="D21" s="13">
        <v>2</v>
      </c>
      <c r="E21" s="13">
        <v>3</v>
      </c>
      <c r="F21" s="13">
        <v>4</v>
      </c>
      <c r="G21" s="13">
        <v>5</v>
      </c>
      <c r="H21" s="13">
        <v>6</v>
      </c>
      <c r="I21" s="13">
        <v>7</v>
      </c>
      <c r="J21" s="13">
        <v>8</v>
      </c>
      <c r="K21" s="13">
        <v>9</v>
      </c>
      <c r="L21" s="13">
        <v>10</v>
      </c>
    </row>
    <row r="22" spans="2:13">
      <c r="B22" t="s">
        <v>45</v>
      </c>
      <c r="C22" s="5">
        <f>+$D$15+$D$16+C21*12*$D$11</f>
        <v>394782.95454545459</v>
      </c>
      <c r="D22" s="5">
        <f t="shared" ref="D22:L22" si="0">+$D$15+$D$16+D21*12*$D$11</f>
        <v>662328.40909090918</v>
      </c>
      <c r="E22" s="5">
        <f t="shared" si="0"/>
        <v>929873.86363636376</v>
      </c>
      <c r="F22" s="5">
        <f t="shared" si="0"/>
        <v>1197419.3181818184</v>
      </c>
      <c r="G22" s="5">
        <f t="shared" si="0"/>
        <v>1464964.7727272729</v>
      </c>
      <c r="H22" s="5">
        <f t="shared" si="0"/>
        <v>1732510.2272727275</v>
      </c>
      <c r="I22" s="5">
        <f t="shared" si="0"/>
        <v>2000055.6818181821</v>
      </c>
      <c r="J22" s="5">
        <f t="shared" si="0"/>
        <v>2267601.1363636367</v>
      </c>
      <c r="K22" s="5">
        <f t="shared" si="0"/>
        <v>2535146.5909090913</v>
      </c>
      <c r="L22" s="5">
        <f t="shared" si="0"/>
        <v>2802692.0454545459</v>
      </c>
    </row>
    <row r="23" spans="2:13">
      <c r="B23" t="s">
        <v>34</v>
      </c>
      <c r="C23" s="5">
        <f t="shared" ref="C23:L23" si="1">+$H$15+$H$16+C21*12*$H$11</f>
        <v>400632</v>
      </c>
      <c r="D23" s="5">
        <f t="shared" si="1"/>
        <v>471264</v>
      </c>
      <c r="E23" s="5">
        <f t="shared" si="1"/>
        <v>541896</v>
      </c>
      <c r="F23" s="5">
        <f t="shared" si="1"/>
        <v>612528</v>
      </c>
      <c r="G23" s="5">
        <f t="shared" si="1"/>
        <v>683160</v>
      </c>
      <c r="H23" s="5">
        <f t="shared" si="1"/>
        <v>753792</v>
      </c>
      <c r="I23" s="5">
        <f t="shared" si="1"/>
        <v>824424</v>
      </c>
      <c r="J23" s="5">
        <f t="shared" si="1"/>
        <v>895056.00000000012</v>
      </c>
      <c r="K23" s="5">
        <f t="shared" si="1"/>
        <v>965688.00000000012</v>
      </c>
      <c r="L23" s="5">
        <f t="shared" si="1"/>
        <v>1036320.0000000001</v>
      </c>
    </row>
    <row r="24" spans="2:13">
      <c r="B24" t="s">
        <v>35</v>
      </c>
      <c r="C24" s="5">
        <f t="shared" ref="C24:L24" si="2">+$F$15+$F$16+C21*12*$F$11</f>
        <v>600000</v>
      </c>
      <c r="D24" s="5">
        <f t="shared" si="2"/>
        <v>600000</v>
      </c>
      <c r="E24" s="5">
        <f t="shared" si="2"/>
        <v>600000</v>
      </c>
      <c r="F24" s="5">
        <f t="shared" si="2"/>
        <v>600000</v>
      </c>
      <c r="G24" s="5">
        <f t="shared" si="2"/>
        <v>600000</v>
      </c>
      <c r="H24" s="5">
        <f t="shared" si="2"/>
        <v>600000</v>
      </c>
      <c r="I24" s="5">
        <f t="shared" si="2"/>
        <v>600000</v>
      </c>
      <c r="J24" s="5">
        <f t="shared" si="2"/>
        <v>600000</v>
      </c>
      <c r="K24" s="5">
        <f t="shared" si="2"/>
        <v>600000</v>
      </c>
      <c r="L24" s="5">
        <f t="shared" si="2"/>
        <v>600000</v>
      </c>
    </row>
    <row r="25" spans="2:13">
      <c r="B25" t="s">
        <v>39</v>
      </c>
      <c r="C25" s="5">
        <f t="shared" ref="C25:L25" si="3">+$J$15+$J$16+C21*12*$J$11</f>
        <v>134284.37695028086</v>
      </c>
      <c r="D25" s="5">
        <f t="shared" si="3"/>
        <v>198568.75390056169</v>
      </c>
      <c r="E25" s="5">
        <f t="shared" si="3"/>
        <v>262853.13085084251</v>
      </c>
      <c r="F25" s="5">
        <f t="shared" si="3"/>
        <v>327137.50780112337</v>
      </c>
      <c r="G25" s="5">
        <f t="shared" si="3"/>
        <v>391421.88475140423</v>
      </c>
      <c r="H25" s="5">
        <f t="shared" si="3"/>
        <v>455706.26170168503</v>
      </c>
      <c r="I25" s="5">
        <f t="shared" si="3"/>
        <v>519990.63865196588</v>
      </c>
      <c r="J25" s="5">
        <f t="shared" si="3"/>
        <v>584275.01560224674</v>
      </c>
      <c r="K25" s="5">
        <f t="shared" si="3"/>
        <v>648559.3925525276</v>
      </c>
      <c r="L25" s="5">
        <f t="shared" si="3"/>
        <v>712843.76950280846</v>
      </c>
    </row>
    <row r="26" spans="2:13">
      <c r="B26" t="s">
        <v>40</v>
      </c>
      <c r="C26" s="5">
        <f>+$L$15+$L$16+C21*12*$L$11</f>
        <v>262853.13085084251</v>
      </c>
      <c r="D26" s="5">
        <f>+$L$15+$L$16+D21*12*$L$11</f>
        <v>455706.26170168503</v>
      </c>
      <c r="E26" s="5">
        <f>+$L$15+$L$16+E21*12*$L$11</f>
        <v>648559.39255252748</v>
      </c>
      <c r="F26" s="5">
        <f t="shared" ref="F26:L26" si="4">+$L$15+$L$16+F21*12*$L$11</f>
        <v>841412.52340337005</v>
      </c>
      <c r="G26" s="5">
        <f t="shared" si="4"/>
        <v>1034265.6542542125</v>
      </c>
      <c r="H26" s="5">
        <f t="shared" si="4"/>
        <v>1227118.785105055</v>
      </c>
      <c r="I26" s="5">
        <f t="shared" si="4"/>
        <v>1419971.9159558977</v>
      </c>
      <c r="J26" s="5">
        <f t="shared" si="4"/>
        <v>1612825.0468067401</v>
      </c>
      <c r="K26" s="5">
        <f t="shared" si="4"/>
        <v>1805678.1776575826</v>
      </c>
      <c r="L26" s="5">
        <f t="shared" si="4"/>
        <v>1998531.308508425</v>
      </c>
    </row>
    <row r="27" spans="2:13">
      <c r="B27" t="s">
        <v>46</v>
      </c>
      <c r="C27" s="5">
        <f t="shared" ref="C27:L27" si="5">+C24-C22</f>
        <v>205217.04545454541</v>
      </c>
      <c r="D27" s="5">
        <f t="shared" si="5"/>
        <v>-62328.409090909176</v>
      </c>
      <c r="E27" s="12">
        <f t="shared" si="5"/>
        <v>-329873.86363636376</v>
      </c>
      <c r="F27" s="5">
        <f t="shared" si="5"/>
        <v>-597419.31818181835</v>
      </c>
      <c r="G27" s="5">
        <f t="shared" si="5"/>
        <v>-864964.77272727294</v>
      </c>
      <c r="H27" s="5">
        <f t="shared" si="5"/>
        <v>-1132510.2272727275</v>
      </c>
      <c r="I27" s="5">
        <f t="shared" si="5"/>
        <v>-1400055.6818181821</v>
      </c>
      <c r="J27" s="5">
        <f t="shared" si="5"/>
        <v>-1667601.1363636367</v>
      </c>
      <c r="K27" s="5">
        <f t="shared" si="5"/>
        <v>-1935146.5909090913</v>
      </c>
      <c r="L27" s="5">
        <f t="shared" si="5"/>
        <v>-2202692.0454545459</v>
      </c>
    </row>
    <row r="28" spans="2:13">
      <c r="B28" t="s">
        <v>36</v>
      </c>
      <c r="C28" s="5">
        <f t="shared" ref="C28:L28" si="6">+C24-C23</f>
        <v>199368</v>
      </c>
      <c r="D28" s="5">
        <f t="shared" si="6"/>
        <v>128736</v>
      </c>
      <c r="E28" s="5">
        <f t="shared" si="6"/>
        <v>58104</v>
      </c>
      <c r="F28" s="5">
        <f t="shared" si="6"/>
        <v>-12528</v>
      </c>
      <c r="G28" s="5">
        <f t="shared" si="6"/>
        <v>-83160</v>
      </c>
      <c r="H28" s="12">
        <f t="shared" si="6"/>
        <v>-153792</v>
      </c>
      <c r="I28" s="5">
        <f t="shared" si="6"/>
        <v>-224424</v>
      </c>
      <c r="J28" s="5">
        <f t="shared" si="6"/>
        <v>-295056.00000000012</v>
      </c>
      <c r="K28" s="5">
        <f t="shared" si="6"/>
        <v>-365688.00000000012</v>
      </c>
      <c r="L28" s="5">
        <f t="shared" si="6"/>
        <v>-436320.00000000012</v>
      </c>
    </row>
    <row r="29" spans="2:13">
      <c r="B29" t="s">
        <v>37</v>
      </c>
      <c r="C29" s="5">
        <f>C24-C25</f>
        <v>465715.62304971914</v>
      </c>
      <c r="D29" s="5">
        <f>D24-D25</f>
        <v>401431.24609943829</v>
      </c>
      <c r="E29" s="5">
        <f>E24-E25</f>
        <v>337146.86914915749</v>
      </c>
      <c r="F29" s="5">
        <f t="shared" ref="F29:L29" si="7">F24-F25</f>
        <v>272862.49219887663</v>
      </c>
      <c r="G29" s="5">
        <f t="shared" si="7"/>
        <v>208578.11524859577</v>
      </c>
      <c r="H29" s="5">
        <f t="shared" si="7"/>
        <v>144293.73829831497</v>
      </c>
      <c r="I29" s="5">
        <f t="shared" si="7"/>
        <v>80009.361348034116</v>
      </c>
      <c r="J29" s="5">
        <f t="shared" si="7"/>
        <v>15724.984397753258</v>
      </c>
      <c r="K29" s="5">
        <f t="shared" si="7"/>
        <v>-48559.392552527599</v>
      </c>
      <c r="L29" s="5">
        <f t="shared" si="7"/>
        <v>-112843.76950280846</v>
      </c>
    </row>
    <row r="30" spans="2:13">
      <c r="B30" t="s">
        <v>38</v>
      </c>
      <c r="C30" s="5">
        <f>+C24-C26</f>
        <v>337146.86914915749</v>
      </c>
      <c r="D30" s="5">
        <f>+D24-D26</f>
        <v>144293.73829831497</v>
      </c>
      <c r="E30" s="5">
        <f>+E24-E26</f>
        <v>-48559.392552527483</v>
      </c>
      <c r="F30" s="5">
        <f t="shared" ref="F30:L30" si="8">+F24-F26</f>
        <v>-241412.52340337005</v>
      </c>
      <c r="G30" s="5">
        <f t="shared" si="8"/>
        <v>-434265.65425421251</v>
      </c>
      <c r="H30" s="5">
        <f t="shared" si="8"/>
        <v>-627118.78510505497</v>
      </c>
      <c r="I30" s="5">
        <f t="shared" si="8"/>
        <v>-819971.91595589765</v>
      </c>
      <c r="J30" s="5">
        <f t="shared" si="8"/>
        <v>-1012825.0468067401</v>
      </c>
      <c r="K30" s="5">
        <f t="shared" si="8"/>
        <v>-1205678.1776575826</v>
      </c>
      <c r="L30" s="5">
        <f t="shared" si="8"/>
        <v>-1398531.308508425</v>
      </c>
    </row>
    <row r="32" spans="2:13">
      <c r="E32" s="11" t="s">
        <v>50</v>
      </c>
    </row>
    <row r="33" spans="4:11">
      <c r="D33" s="11" t="s">
        <v>44</v>
      </c>
      <c r="E33">
        <v>2.14</v>
      </c>
    </row>
    <row r="34" spans="4:11">
      <c r="D34" s="11" t="s">
        <v>41</v>
      </c>
      <c r="E34">
        <v>3.82</v>
      </c>
      <c r="H34" s="5"/>
      <c r="I34" s="5"/>
      <c r="J34" s="5"/>
      <c r="K34" s="5"/>
    </row>
    <row r="35" spans="4:11">
      <c r="D35" s="11" t="s">
        <v>48</v>
      </c>
      <c r="E35">
        <v>8.24</v>
      </c>
      <c r="H35" s="14"/>
      <c r="I35" s="14"/>
      <c r="J35" s="14"/>
      <c r="K35" s="14"/>
    </row>
    <row r="36" spans="4:11">
      <c r="D36" s="11" t="s">
        <v>49</v>
      </c>
      <c r="E36">
        <v>2.75</v>
      </c>
      <c r="H36" s="14"/>
      <c r="I36" s="14"/>
      <c r="J36" s="14"/>
      <c r="K36" s="14"/>
    </row>
    <row r="37" spans="4:11">
      <c r="H37" s="14"/>
      <c r="I37" s="14"/>
      <c r="K37" s="14"/>
    </row>
    <row r="38" spans="4:11">
      <c r="H38" s="14"/>
      <c r="I38" s="14"/>
      <c r="J38" s="14"/>
      <c r="K38" s="14"/>
    </row>
  </sheetData>
  <mergeCells count="5">
    <mergeCell ref="D4:E4"/>
    <mergeCell ref="F4:G4"/>
    <mergeCell ref="H4:I4"/>
    <mergeCell ref="J4:K4"/>
    <mergeCell ref="L4:M4"/>
  </mergeCells>
  <pageMargins left="0.31496062992125984" right="0.31496062992125984" top="0" bottom="0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Coût Energie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Mbodji</dc:creator>
  <cp:lastModifiedBy>user</cp:lastModifiedBy>
  <cp:lastPrinted>2012-06-16T17:42:50Z</cp:lastPrinted>
  <dcterms:created xsi:type="dcterms:W3CDTF">2012-04-23T09:24:34Z</dcterms:created>
  <dcterms:modified xsi:type="dcterms:W3CDTF">2017-05-16T15:04:50Z</dcterms:modified>
</cp:coreProperties>
</file>